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t\Documents\Segeln\Yachtinvest\"/>
    </mc:Choice>
  </mc:AlternateContent>
  <xr:revisionPtr revIDLastSave="0" documentId="8_{277A03DF-020C-4104-83D4-9C20A5C58C23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Yachtinvest Modell" sheetId="2" r:id="rId1"/>
    <sheet name="Beispiel" sheetId="5" r:id="rId2"/>
    <sheet name="English" sheetId="3" r:id="rId3"/>
    <sheet name="Exampl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5" i="5" l="1"/>
  <c r="B64" i="5"/>
  <c r="B62" i="5"/>
  <c r="B61" i="5"/>
  <c r="B63" i="5" s="1"/>
  <c r="B66" i="5" s="1"/>
  <c r="B37" i="5"/>
  <c r="B36" i="5"/>
  <c r="B35" i="5"/>
  <c r="B34" i="5"/>
  <c r="B52" i="5" s="1"/>
  <c r="B33" i="5"/>
  <c r="B43" i="5" s="1"/>
  <c r="B32" i="5"/>
  <c r="B27" i="5"/>
  <c r="B24" i="5"/>
  <c r="B23" i="5"/>
  <c r="B25" i="5" s="1"/>
  <c r="B21" i="5"/>
  <c r="B20" i="5"/>
  <c r="B22" i="5" s="1"/>
  <c r="B26" i="5" s="1"/>
  <c r="B28" i="5" s="1"/>
  <c r="B16" i="5"/>
  <c r="B65" i="4"/>
  <c r="B64" i="4"/>
  <c r="B62" i="4"/>
  <c r="B61" i="4"/>
  <c r="B37" i="4"/>
  <c r="B36" i="4"/>
  <c r="B35" i="4"/>
  <c r="B34" i="4"/>
  <c r="B52" i="4" s="1"/>
  <c r="B33" i="4"/>
  <c r="B51" i="4" s="1"/>
  <c r="B32" i="4"/>
  <c r="B27" i="4"/>
  <c r="B24" i="4"/>
  <c r="B23" i="4"/>
  <c r="B25" i="4" s="1"/>
  <c r="B21" i="4"/>
  <c r="B20" i="4"/>
  <c r="B16" i="4"/>
  <c r="B28" i="3"/>
  <c r="B65" i="3"/>
  <c r="B64" i="3"/>
  <c r="B62" i="3"/>
  <c r="B61" i="3"/>
  <c r="B63" i="3" s="1"/>
  <c r="B66" i="3" s="1"/>
  <c r="B37" i="3"/>
  <c r="B36" i="3"/>
  <c r="B35" i="3"/>
  <c r="B34" i="3"/>
  <c r="B52" i="3" s="1"/>
  <c r="B33" i="3"/>
  <c r="B43" i="3" s="1"/>
  <c r="B32" i="3"/>
  <c r="B48" i="3" s="1"/>
  <c r="B54" i="3" s="1"/>
  <c r="B27" i="3"/>
  <c r="B24" i="3"/>
  <c r="B23" i="3"/>
  <c r="B25" i="3" s="1"/>
  <c r="B21" i="3"/>
  <c r="B20" i="3"/>
  <c r="B22" i="3" s="1"/>
  <c r="B26" i="3" s="1"/>
  <c r="B16" i="3"/>
  <c r="B65" i="2"/>
  <c r="B64" i="2"/>
  <c r="B62" i="2"/>
  <c r="B37" i="2"/>
  <c r="B36" i="2"/>
  <c r="B35" i="2"/>
  <c r="B34" i="2"/>
  <c r="B33" i="2"/>
  <c r="B43" i="2" s="1"/>
  <c r="B32" i="2"/>
  <c r="B48" i="2" s="1"/>
  <c r="B27" i="2"/>
  <c r="B24" i="2"/>
  <c r="B23" i="2"/>
  <c r="B21" i="2"/>
  <c r="B20" i="2"/>
  <c r="B61" i="2"/>
  <c r="B16" i="2"/>
  <c r="B41" i="5" l="1"/>
  <c r="B42" i="5"/>
  <c r="B44" i="5"/>
  <c r="B48" i="5"/>
  <c r="B54" i="5" s="1"/>
  <c r="B51" i="5"/>
  <c r="B53" i="5" s="1"/>
  <c r="B55" i="5" s="1"/>
  <c r="B53" i="4"/>
  <c r="B22" i="4"/>
  <c r="B26" i="4" s="1"/>
  <c r="B28" i="4" s="1"/>
  <c r="B63" i="4"/>
  <c r="B66" i="4" s="1"/>
  <c r="B41" i="4"/>
  <c r="B42" i="4"/>
  <c r="B43" i="4"/>
  <c r="B44" i="4"/>
  <c r="B48" i="4"/>
  <c r="B54" i="4" s="1"/>
  <c r="B55" i="4" s="1"/>
  <c r="B41" i="2"/>
  <c r="B41" i="3"/>
  <c r="B44" i="3"/>
  <c r="B49" i="3"/>
  <c r="B50" i="3" s="1"/>
  <c r="B51" i="3"/>
  <c r="B53" i="3" s="1"/>
  <c r="B55" i="3" s="1"/>
  <c r="B42" i="3"/>
  <c r="B25" i="2"/>
  <c r="B22" i="2"/>
  <c r="B51" i="2"/>
  <c r="B52" i="2"/>
  <c r="B63" i="2"/>
  <c r="B66" i="2" s="1"/>
  <c r="B54" i="2"/>
  <c r="B49" i="2"/>
  <c r="B50" i="2" s="1"/>
  <c r="B42" i="2"/>
  <c r="B44" i="2"/>
  <c r="B45" i="5" l="1"/>
  <c r="B49" i="5"/>
  <c r="B50" i="5" s="1"/>
  <c r="B56" i="5" s="1"/>
  <c r="B45" i="4"/>
  <c r="B49" i="4"/>
  <c r="B50" i="4" s="1"/>
  <c r="B56" i="4" s="1"/>
  <c r="B45" i="3"/>
  <c r="B56" i="3"/>
  <c r="B53" i="2"/>
  <c r="B26" i="2"/>
  <c r="B28" i="2" s="1"/>
  <c r="B55" i="2"/>
  <c r="B56" i="2" s="1"/>
  <c r="B45" i="2"/>
  <c r="B57" i="5" l="1"/>
  <c r="B58" i="5" s="1"/>
  <c r="B57" i="4"/>
  <c r="B58" i="4" s="1"/>
  <c r="B57" i="3"/>
  <c r="B58" i="3" s="1"/>
  <c r="B57" i="2"/>
  <c r="B58" i="2" s="1"/>
</calcChain>
</file>

<file path=xl/sharedStrings.xml><?xml version="1.0" encoding="utf-8"?>
<sst xmlns="http://schemas.openxmlformats.org/spreadsheetml/2006/main" count="276" uniqueCount="137">
  <si>
    <t>Eingaben (ändern erlaubt)</t>
  </si>
  <si>
    <t>Laufzeit (Jahre)</t>
  </si>
  <si>
    <t>Bootspreis (Brutto)</t>
  </si>
  <si>
    <t>USt-Satz (%)</t>
  </si>
  <si>
    <t>Chartereinnahmen p.a. (Brutto)</t>
  </si>
  <si>
    <t>Charter-Ausgaben p.a. (Brutto)</t>
  </si>
  <si>
    <t>Versicherung p.a. (Brutto)</t>
  </si>
  <si>
    <t>Charterzeit-Kosten p.a. (Brutto)</t>
  </si>
  <si>
    <t>Restwert am Ende (Brutto)</t>
  </si>
  <si>
    <t>ESt-Satz (%)</t>
  </si>
  <si>
    <t>AfA-Nutzungsdauer (Jahre)</t>
  </si>
  <si>
    <t>Ende-Option (ENTNAHME oder VERKAUF)</t>
  </si>
  <si>
    <t>ENTNAHME</t>
  </si>
  <si>
    <t>USt-Faktor (1+USt)</t>
  </si>
  <si>
    <t>Option ist ENTNAHME? (1/0)</t>
  </si>
  <si>
    <t>A) Liebhaberei (privat, keine ESt/USt)</t>
  </si>
  <si>
    <t>Einnahmen gesamt (Brutto)</t>
  </si>
  <si>
    <t>Ausgaben gesamt (Brutto)</t>
  </si>
  <si>
    <t>Operatives Ergebnis (Brutto)</t>
  </si>
  <si>
    <t>Investition (Kauf, Brutto)</t>
  </si>
  <si>
    <t>Restwert (Brutto)</t>
  </si>
  <si>
    <t>Netto-Investitionsabfluss</t>
  </si>
  <si>
    <t>Gesamtergebnis Cash (ohne Steuer)</t>
  </si>
  <si>
    <t>ESt (bei Liebhaberei = 0)</t>
  </si>
  <si>
    <t>Ergebnis nach Steuer</t>
  </si>
  <si>
    <t>Netto-Ableitungen</t>
  </si>
  <si>
    <t>Bootspreis netto</t>
  </si>
  <si>
    <t>Chartereinnahmen netto p.a.</t>
  </si>
  <si>
    <t>Charter-Ausgaben netto p.a.</t>
  </si>
  <si>
    <t>Versicherung netto p.a.</t>
  </si>
  <si>
    <t>Charterzeit-Kosten netto p.a.</t>
  </si>
  <si>
    <t>Entnahme-/Verkaufspreis netto (Restwert)</t>
  </si>
  <si>
    <t>Umsatzsteuer-Salden (positiv = Zahllast)</t>
  </si>
  <si>
    <t>Vorsteuer auf Kauf</t>
  </si>
  <si>
    <t>Vorsteuer laufend gesamt</t>
  </si>
  <si>
    <t>USt auf Einnahmen gesamt</t>
  </si>
  <si>
    <t>USt auf ENTNAHME/VERKAUF</t>
  </si>
  <si>
    <t>USt-Saldo gesamt (Zahllast +/−)</t>
  </si>
  <si>
    <t>Ergebnisrechnung (Netto / ESt-Basis)</t>
  </si>
  <si>
    <t>AfA pro Jahr</t>
  </si>
  <si>
    <t>Gewinn/Verlust aus ENTNAHME/VERKAUF (netto)</t>
  </si>
  <si>
    <t>Operative Erlöse netto gesamt</t>
  </si>
  <si>
    <t>Operative Kosten netto gesamt</t>
  </si>
  <si>
    <t>Ergebnis vor AfA</t>
  </si>
  <si>
    <t>AfA gesamt</t>
  </si>
  <si>
    <t>Ergebnis vor ENTNAHME/VERKAUF</t>
  </si>
  <si>
    <t>Ergebnis inkl. ENTNAHME/VERKAUF (steuerpflichtig)</t>
  </si>
  <si>
    <t>ESt (max 0 bei Verlust)</t>
  </si>
  <si>
    <t>Ergebnis nach ESt</t>
  </si>
  <si>
    <t>Cash Einnahmen gesamt (Brutto)</t>
  </si>
  <si>
    <t>Cash Ausgaben gesamt (Brutto)</t>
  </si>
  <si>
    <t>Cash vor Steuern</t>
  </si>
  <si>
    <t>Abzgl. USt-Saldo gesamt</t>
  </si>
  <si>
    <t>Abzgl. ESt</t>
  </si>
  <si>
    <t>Cash nach Steuern (vereinfacht)</t>
  </si>
  <si>
    <t>Yachtinvest – Modelle mit Übernahme der Yacht oder Verkauf am Laufzeitende</t>
  </si>
  <si>
    <t>Ausschließlich gelbe Felder ausfüllen!</t>
  </si>
  <si>
    <t xml:space="preserve">Vereinfachte Cash-Betrachtung </t>
  </si>
  <si>
    <t>(Bruttofluss − USt-Saldo − ESt) inkl. ENTNAHME/VERKAUF-Auswahl</t>
  </si>
  <si>
    <t>Dein Steuersatz wird interessant wenn Du eine Gewinnerzielungs Absicht mit dem Yachtinvest Programm hast und das Finanzamt dies anerkennt.</t>
  </si>
  <si>
    <t>Der Restwert wird vom Yachtinvest Unternehmen geschätzt. Abweichungenbis zu 30% sind üblich.</t>
  </si>
  <si>
    <t>Hier sind die die jährlichen Kosten der eigenen Charterzeiten einzutragen . Ist Charterzeit ohne Abzüge im Angebot inkludiert ist eine Annahme zu treffen.</t>
  </si>
  <si>
    <t>Alle Dienstleistungs und Materialausgaben.</t>
  </si>
  <si>
    <t>Die Einnahmen pro Jahr ohne Verrechnung etwaiger eigener Charternutzung des Bootes.</t>
  </si>
  <si>
    <t>Den Brutto Kaufpreis abzüglich aller Discounts und Angebote eintragen.</t>
  </si>
  <si>
    <t>Die Dauer der Abschreibng ist in der Afa Tabelle festgelegt. Sie liegt bei Booten zwischen 10 Jahre (kleinere Yachten) und 12 Jahren (größere Yachten).</t>
  </si>
  <si>
    <t>Die Rechnung wenn das Finanzamt Dir Liebhaberei unterstellt. Eine Gewinnerzielungsabsicht bedarf einer gten Vorbereitung beim Gang zum Finanzamt.</t>
  </si>
  <si>
    <t>Yachtinvest – Model with takeover of the yacht or sale at the end of the term.</t>
  </si>
  <si>
    <t>Only fill in the yellow fields</t>
  </si>
  <si>
    <t>Input</t>
  </si>
  <si>
    <t>Term (years)</t>
  </si>
  <si>
    <t>VAT rate (%)</t>
  </si>
  <si>
    <t>Charter expenses per year (gross)</t>
  </si>
  <si>
    <t>Income from Charter per year (gross)</t>
  </si>
  <si>
    <t>Price of Yacht (gross)</t>
  </si>
  <si>
    <t>Your own Charering per year (gross)</t>
  </si>
  <si>
    <t>Residual value at the end (gross)</t>
  </si>
  <si>
    <t>Income tax rate (%)</t>
  </si>
  <si>
    <t>Depreciation period (AFA) in years</t>
  </si>
  <si>
    <t>VAT Factor  (1+VAT rate)</t>
  </si>
  <si>
    <t>End-Option (WITHDRAWAL or SELLING)</t>
  </si>
  <si>
    <t>WITHDRAWAL</t>
  </si>
  <si>
    <t>Option is WITHDRAWAL? (1/0)</t>
  </si>
  <si>
    <t>A) Hobby (Liebhaberei) (private, no income or VAT tax)</t>
  </si>
  <si>
    <t>Income total (gross)</t>
  </si>
  <si>
    <t>Expenses total (gross)</t>
  </si>
  <si>
    <t>Operating result (gross)</t>
  </si>
  <si>
    <t>Investment putchase (gross)</t>
  </si>
  <si>
    <t>Residual value (gross)</t>
  </si>
  <si>
    <t>Net investment outflow</t>
  </si>
  <si>
    <t>Total cash result (excluding tax)</t>
  </si>
  <si>
    <t>Income tax (if Hobby = 0)</t>
  </si>
  <si>
    <t>Earnings after tax</t>
  </si>
  <si>
    <t>Boat price (net)</t>
  </si>
  <si>
    <t>Income from Charter per year (net)</t>
  </si>
  <si>
    <t>Charter expenses per year (net)</t>
  </si>
  <si>
    <t>Insurance per year (net)</t>
  </si>
  <si>
    <t>Da die Versicherungskosten nicht abzugsfähig sind, sind sie getrennt zu behandeln. Bei ausschließlich gewerblicher Nutzung, kann die Kasko auf einen Steueratz von 3% reduziert werden. Das ist im Yachtinvest aber äusserst selten zu erreichen. Erst bei mehreren Booten relevant.</t>
  </si>
  <si>
    <t>Since insurance costs are not tax-deductible, they must be treated separately. For exclusively commercial use, the comprehensive insurance can be reduced to a tax rate of 3%. However, this is extremely rare in yacht investing. It only becomes relevant when owning multiple boats.</t>
  </si>
  <si>
    <t>Insurance expense per year (gross)</t>
  </si>
  <si>
    <t>Your own Charering per year (net)</t>
  </si>
  <si>
    <t>Withdrawal/sale price net (Residual value)</t>
  </si>
  <si>
    <t>Net-Derivative</t>
  </si>
  <si>
    <t xml:space="preserve">Sales tax balances (positive = tax liability)	</t>
  </si>
  <si>
    <t>Input tax on purchase</t>
  </si>
  <si>
    <t>Total input tax</t>
  </si>
  <si>
    <t>Total VAT on revenue</t>
  </si>
  <si>
    <t>VAT on WITHDRAWAL/SALE</t>
  </si>
  <si>
    <t>Total VAT balance (tax liability +/−)</t>
  </si>
  <si>
    <t xml:space="preserve">Income statement (net / income tax basis)	</t>
  </si>
  <si>
    <t>AfA per year</t>
  </si>
  <si>
    <t>Netto Buchwert am Ende der Laufzeit</t>
  </si>
  <si>
    <t>Net book value at the end of the term</t>
  </si>
  <si>
    <t>Gain/loss from WITHDRAWAL/SALE (net)</t>
  </si>
  <si>
    <t>Total net operating revenue</t>
  </si>
  <si>
    <t>Total net operating costs</t>
  </si>
  <si>
    <t>Earnings before depreciation (AFA)</t>
  </si>
  <si>
    <t>Total depreciation (AFA)</t>
  </si>
  <si>
    <t>Earnings before WITHDRAWAL/SALE</t>
  </si>
  <si>
    <t>Result including WITHDRAWAL/SALE (taxable)</t>
  </si>
  <si>
    <t>Income tax (max. 0 in case of loss)</t>
  </si>
  <si>
    <t>Income after income tax</t>
  </si>
  <si>
    <t xml:space="preserve">Simplified cash view </t>
  </si>
  <si>
    <t>Total cash receipts (gross)</t>
  </si>
  <si>
    <t>Total cash expenditures (gross)</t>
  </si>
  <si>
    <t>Cash before taxes</t>
  </si>
  <si>
    <t>Less total VAT balance</t>
  </si>
  <si>
    <t>Less income tax</t>
  </si>
  <si>
    <t>Cash after taxes (simplified)</t>
  </si>
  <si>
    <t>(Gross flow − VAT balance − Income tax) incl. WITHDRAWAL/SALE selection</t>
  </si>
  <si>
    <t>Enter the gross purchase price minus all discounts and offers.</t>
  </si>
  <si>
    <t>Annual income excluding any personal charter use of the boat.</t>
  </si>
  <si>
    <t>All service and material expenses.</t>
  </si>
  <si>
    <t>Enter the annual costs of your own charter times here. If charter time is included in the offer without deductions, an assumption must be made.</t>
  </si>
  <si>
    <t>The residual value is estimated by Yachtinvest. Deviations of up to 30% are common.</t>
  </si>
  <si>
    <t>The depreciation period is specified in the Afa table. For boats, it ranges from 10 years (smaller yachts) to 12 years (larger yachts).</t>
  </si>
  <si>
    <t>The consequences if the tax office accuses you of hobbyism. The intention to make a profit requires careful preparation when visiting the tax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</si>
</sst>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rgb="FFFCE4D6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1" fillId="2" borderId="1" xfId="0" applyNumberFormat="1" applyFont="1" applyFill="1" applyBorder="1"/>
    <xf numFmtId="0" fontId="1" fillId="0" borderId="0" xfId="0" applyFont="1"/>
    <xf numFmtId="0" fontId="1" fillId="0" borderId="1" xfId="0" applyFont="1" applyBorder="1"/>
    <xf numFmtId="4" fontId="1" fillId="2" borderId="1" xfId="0" applyNumberFormat="1" applyFont="1" applyFill="1" applyBorder="1"/>
    <xf numFmtId="10" fontId="1" fillId="2" borderId="1" xfId="0" applyNumberFormat="1" applyFont="1" applyFill="1" applyBorder="1"/>
    <xf numFmtId="10" fontId="1" fillId="0" borderId="1" xfId="0" applyNumberFormat="1" applyFont="1" applyBorder="1"/>
    <xf numFmtId="164" fontId="1" fillId="0" borderId="1" xfId="0" applyNumberFormat="1" applyFont="1" applyBorder="1"/>
    <xf numFmtId="0" fontId="3" fillId="0" borderId="0" xfId="0" applyFont="1" applyAlignment="1">
      <alignment horizontal="left"/>
    </xf>
    <xf numFmtId="0" fontId="1" fillId="5" borderId="0" xfId="0" applyFont="1" applyFill="1"/>
    <xf numFmtId="0" fontId="2" fillId="0" borderId="0" xfId="0" applyFont="1"/>
    <xf numFmtId="0" fontId="1" fillId="0" borderId="0" xfId="0" applyFont="1"/>
    <xf numFmtId="0" fontId="2" fillId="4" borderId="1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5" borderId="0" xfId="0" applyFont="1" applyFill="1" applyAlignment="1">
      <alignment horizontal="left" wrapText="1"/>
    </xf>
    <xf numFmtId="0" fontId="1" fillId="5" borderId="0" xfId="0" applyFont="1" applyFill="1" applyAlignment="1">
      <alignment horizontal="left"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horizontal="center" vertical="top"/>
    </xf>
    <xf numFmtId="0" fontId="2" fillId="4" borderId="0" xfId="0" applyFont="1" applyFill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0" fontId="1" fillId="5" borderId="0" xfId="0" applyFont="1" applyFill="1" applyAlignment="1">
      <alignment vertical="top"/>
    </xf>
    <xf numFmtId="10" fontId="1" fillId="2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10" fontId="1" fillId="0" borderId="1" xfId="0" applyNumberFormat="1" applyFont="1" applyBorder="1" applyAlignment="1">
      <alignment vertical="top"/>
    </xf>
    <xf numFmtId="0" fontId="2" fillId="4" borderId="1" xfId="0" applyFont="1" applyFill="1" applyBorder="1" applyAlignment="1">
      <alignment horizontal="left" vertical="top"/>
    </xf>
    <xf numFmtId="164" fontId="1" fillId="0" borderId="1" xfId="0" applyNumberFormat="1" applyFont="1" applyBorder="1" applyAlignment="1">
      <alignment vertical="top"/>
    </xf>
    <xf numFmtId="0" fontId="2" fillId="3" borderId="3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6"/>
  <sheetViews>
    <sheetView topLeftCell="A10" workbookViewId="0">
      <selection activeCell="H29" sqref="H29"/>
    </sheetView>
  </sheetViews>
  <sheetFormatPr baseColWidth="10" defaultColWidth="9.1796875" defaultRowHeight="21" x14ac:dyDescent="0.35"/>
  <cols>
    <col min="1" max="1" width="69.81640625" style="21" customWidth="1"/>
    <col min="2" max="2" width="32.1796875" style="21" customWidth="1"/>
    <col min="3" max="3" width="4.1796875" style="21" customWidth="1"/>
    <col min="4" max="4" width="32" style="21" customWidth="1"/>
    <col min="5" max="16384" width="9.1796875" style="21"/>
  </cols>
  <sheetData>
    <row r="1" spans="1:21" x14ac:dyDescent="0.35">
      <c r="A1" s="19" t="s">
        <v>55</v>
      </c>
      <c r="B1" s="20"/>
      <c r="C1" s="20"/>
    </row>
    <row r="2" spans="1:21" x14ac:dyDescent="0.35">
      <c r="A2" s="22" t="s">
        <v>56</v>
      </c>
      <c r="B2" s="22"/>
    </row>
    <row r="3" spans="1:21" x14ac:dyDescent="0.35">
      <c r="A3" s="23" t="s">
        <v>0</v>
      </c>
      <c r="B3" s="23"/>
    </row>
    <row r="4" spans="1:21" x14ac:dyDescent="0.35">
      <c r="A4" s="24" t="s">
        <v>1</v>
      </c>
      <c r="B4" s="25">
        <v>1</v>
      </c>
    </row>
    <row r="5" spans="1:21" x14ac:dyDescent="0.35">
      <c r="A5" s="24" t="s">
        <v>2</v>
      </c>
      <c r="B5" s="26"/>
      <c r="D5" s="27" t="s">
        <v>64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x14ac:dyDescent="0.35">
      <c r="A6" s="24" t="s">
        <v>3</v>
      </c>
      <c r="B6" s="28">
        <v>0.01</v>
      </c>
    </row>
    <row r="7" spans="1:21" x14ac:dyDescent="0.35">
      <c r="A7" s="24" t="s">
        <v>4</v>
      </c>
      <c r="B7" s="26"/>
      <c r="D7" s="27" t="s">
        <v>63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x14ac:dyDescent="0.35">
      <c r="A8" s="24" t="s">
        <v>5</v>
      </c>
      <c r="B8" s="26"/>
      <c r="D8" s="27" t="s">
        <v>62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ht="45.5" customHeight="1" x14ac:dyDescent="0.35">
      <c r="A9" s="24" t="s">
        <v>6</v>
      </c>
      <c r="B9" s="26"/>
      <c r="D9" s="18" t="s">
        <v>97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x14ac:dyDescent="0.35">
      <c r="A10" s="24" t="s">
        <v>7</v>
      </c>
      <c r="B10" s="26"/>
      <c r="D10" s="27" t="s">
        <v>61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x14ac:dyDescent="0.35">
      <c r="A11" s="24" t="s">
        <v>8</v>
      </c>
      <c r="B11" s="26"/>
      <c r="D11" s="27" t="s">
        <v>60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x14ac:dyDescent="0.35">
      <c r="A12" s="24" t="s">
        <v>9</v>
      </c>
      <c r="B12" s="28">
        <v>0</v>
      </c>
      <c r="D12" s="27" t="s">
        <v>59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x14ac:dyDescent="0.35">
      <c r="A13" s="24" t="s">
        <v>10</v>
      </c>
      <c r="B13" s="25">
        <v>1</v>
      </c>
      <c r="D13" s="27" t="s">
        <v>65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x14ac:dyDescent="0.35">
      <c r="A14" s="24" t="s">
        <v>11</v>
      </c>
      <c r="B14" s="24" t="s">
        <v>12</v>
      </c>
    </row>
    <row r="16" spans="1:21" x14ac:dyDescent="0.35">
      <c r="A16" s="29" t="s">
        <v>13</v>
      </c>
      <c r="B16" s="30">
        <f>1+B6</f>
        <v>1.01</v>
      </c>
    </row>
    <row r="17" spans="1:21" x14ac:dyDescent="0.35">
      <c r="A17" s="29" t="s">
        <v>14</v>
      </c>
      <c r="B17" s="24">
        <v>1</v>
      </c>
    </row>
    <row r="19" spans="1:21" x14ac:dyDescent="0.35">
      <c r="A19" s="31" t="s">
        <v>15</v>
      </c>
      <c r="B19" s="31"/>
      <c r="D19" s="27" t="s">
        <v>66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x14ac:dyDescent="0.35">
      <c r="A20" s="24" t="s">
        <v>16</v>
      </c>
      <c r="B20" s="32">
        <f>B7*B4</f>
        <v>0</v>
      </c>
    </row>
    <row r="21" spans="1:21" x14ac:dyDescent="0.35">
      <c r="A21" s="24" t="s">
        <v>17</v>
      </c>
      <c r="B21" s="32">
        <f>(B8+B9+B10)*B4</f>
        <v>0</v>
      </c>
    </row>
    <row r="22" spans="1:21" x14ac:dyDescent="0.35">
      <c r="A22" s="24" t="s">
        <v>18</v>
      </c>
      <c r="B22" s="32">
        <f>B20-B21</f>
        <v>0</v>
      </c>
    </row>
    <row r="23" spans="1:21" x14ac:dyDescent="0.35">
      <c r="A23" s="24" t="s">
        <v>19</v>
      </c>
      <c r="B23" s="32">
        <f>B5</f>
        <v>0</v>
      </c>
    </row>
    <row r="24" spans="1:21" x14ac:dyDescent="0.35">
      <c r="A24" s="24" t="s">
        <v>20</v>
      </c>
      <c r="B24" s="32">
        <f>B11</f>
        <v>0</v>
      </c>
    </row>
    <row r="25" spans="1:21" x14ac:dyDescent="0.35">
      <c r="A25" s="24" t="s">
        <v>21</v>
      </c>
      <c r="B25" s="32">
        <f>B23-B24</f>
        <v>0</v>
      </c>
    </row>
    <row r="26" spans="1:21" x14ac:dyDescent="0.35">
      <c r="A26" s="24" t="s">
        <v>22</v>
      </c>
      <c r="B26" s="32">
        <f>B22-B25</f>
        <v>0</v>
      </c>
    </row>
    <row r="27" spans="1:21" x14ac:dyDescent="0.35">
      <c r="A27" s="24" t="s">
        <v>23</v>
      </c>
      <c r="B27" s="32">
        <f>0</f>
        <v>0</v>
      </c>
    </row>
    <row r="28" spans="1:21" x14ac:dyDescent="0.35">
      <c r="A28" s="24" t="s">
        <v>24</v>
      </c>
      <c r="B28" s="32">
        <f>B26-B27</f>
        <v>0</v>
      </c>
    </row>
    <row r="31" spans="1:21" x14ac:dyDescent="0.35">
      <c r="A31" s="31" t="s">
        <v>25</v>
      </c>
      <c r="B31" s="31"/>
    </row>
    <row r="32" spans="1:21" x14ac:dyDescent="0.35">
      <c r="A32" s="24" t="s">
        <v>26</v>
      </c>
      <c r="B32" s="32">
        <f>B5/(1+B6)</f>
        <v>0</v>
      </c>
    </row>
    <row r="33" spans="1:2" x14ac:dyDescent="0.35">
      <c r="A33" s="24" t="s">
        <v>27</v>
      </c>
      <c r="B33" s="32">
        <f>B7/(1+B6)</f>
        <v>0</v>
      </c>
    </row>
    <row r="34" spans="1:2" x14ac:dyDescent="0.35">
      <c r="A34" s="24" t="s">
        <v>28</v>
      </c>
      <c r="B34" s="32">
        <f>B8/(1+B6)</f>
        <v>0</v>
      </c>
    </row>
    <row r="35" spans="1:2" x14ac:dyDescent="0.35">
      <c r="A35" s="24" t="s">
        <v>29</v>
      </c>
      <c r="B35" s="32">
        <f>B9/(1+B6)</f>
        <v>0</v>
      </c>
    </row>
    <row r="36" spans="1:2" x14ac:dyDescent="0.35">
      <c r="A36" s="24" t="s">
        <v>30</v>
      </c>
      <c r="B36" s="32">
        <f>B10/(1+B6)</f>
        <v>0</v>
      </c>
    </row>
    <row r="37" spans="1:2" x14ac:dyDescent="0.35">
      <c r="A37" s="24" t="s">
        <v>31</v>
      </c>
      <c r="B37" s="32">
        <f>B11/(1+B6)</f>
        <v>0</v>
      </c>
    </row>
    <row r="40" spans="1:2" x14ac:dyDescent="0.35">
      <c r="A40" s="33" t="s">
        <v>32</v>
      </c>
      <c r="B40" s="34"/>
    </row>
    <row r="41" spans="1:2" x14ac:dyDescent="0.35">
      <c r="A41" s="24" t="s">
        <v>33</v>
      </c>
      <c r="B41" s="32">
        <f>B32*B6</f>
        <v>0</v>
      </c>
    </row>
    <row r="42" spans="1:2" x14ac:dyDescent="0.35">
      <c r="A42" s="24" t="s">
        <v>34</v>
      </c>
      <c r="B42" s="32">
        <f>(B34+B35+B36)*B6*B4</f>
        <v>0</v>
      </c>
    </row>
    <row r="43" spans="1:2" x14ac:dyDescent="0.35">
      <c r="A43" s="24" t="s">
        <v>35</v>
      </c>
      <c r="B43" s="32">
        <f>B33*B6*B4</f>
        <v>0</v>
      </c>
    </row>
    <row r="44" spans="1:2" x14ac:dyDescent="0.35">
      <c r="A44" s="24" t="s">
        <v>36</v>
      </c>
      <c r="B44" s="32">
        <f>B37*B6</f>
        <v>0</v>
      </c>
    </row>
    <row r="45" spans="1:2" x14ac:dyDescent="0.35">
      <c r="A45" s="24" t="s">
        <v>37</v>
      </c>
      <c r="B45" s="32">
        <f>B42+B43+B44-(B40+B41)</f>
        <v>0</v>
      </c>
    </row>
    <row r="47" spans="1:2" x14ac:dyDescent="0.35">
      <c r="A47" s="33" t="s">
        <v>38</v>
      </c>
      <c r="B47" s="34"/>
    </row>
    <row r="48" spans="1:2" x14ac:dyDescent="0.35">
      <c r="A48" s="24" t="s">
        <v>39</v>
      </c>
      <c r="B48" s="32">
        <f>B32/B13</f>
        <v>0</v>
      </c>
    </row>
    <row r="49" spans="1:4" x14ac:dyDescent="0.35">
      <c r="A49" s="24" t="s">
        <v>111</v>
      </c>
      <c r="B49" s="32">
        <f>B32-B48*B4</f>
        <v>0</v>
      </c>
    </row>
    <row r="50" spans="1:4" x14ac:dyDescent="0.35">
      <c r="A50" s="24" t="s">
        <v>40</v>
      </c>
      <c r="B50" s="32">
        <f>B37-B49</f>
        <v>0</v>
      </c>
    </row>
    <row r="51" spans="1:4" x14ac:dyDescent="0.35">
      <c r="A51" s="24" t="s">
        <v>41</v>
      </c>
      <c r="B51" s="32">
        <f>B33*B4</f>
        <v>0</v>
      </c>
    </row>
    <row r="52" spans="1:4" x14ac:dyDescent="0.35">
      <c r="A52" s="24" t="s">
        <v>42</v>
      </c>
      <c r="B52" s="32">
        <f>(B34+B35+B36)*B4</f>
        <v>0</v>
      </c>
    </row>
    <row r="53" spans="1:4" x14ac:dyDescent="0.35">
      <c r="A53" s="24" t="s">
        <v>43</v>
      </c>
      <c r="B53" s="32">
        <f>B51-B52</f>
        <v>0</v>
      </c>
    </row>
    <row r="54" spans="1:4" x14ac:dyDescent="0.35">
      <c r="A54" s="24" t="s">
        <v>44</v>
      </c>
      <c r="B54" s="32">
        <f>B48*B4</f>
        <v>0</v>
      </c>
    </row>
    <row r="55" spans="1:4" x14ac:dyDescent="0.35">
      <c r="A55" s="24" t="s">
        <v>45</v>
      </c>
      <c r="B55" s="32">
        <f>B53-B54</f>
        <v>0</v>
      </c>
    </row>
    <row r="56" spans="1:4" x14ac:dyDescent="0.35">
      <c r="A56" s="24" t="s">
        <v>46</v>
      </c>
      <c r="B56" s="32">
        <f>B55+B50</f>
        <v>0</v>
      </c>
    </row>
    <row r="57" spans="1:4" x14ac:dyDescent="0.35">
      <c r="A57" s="24" t="s">
        <v>47</v>
      </c>
      <c r="B57" s="32">
        <f>MAX(0,B56*B12)</f>
        <v>0</v>
      </c>
    </row>
    <row r="58" spans="1:4" x14ac:dyDescent="0.35">
      <c r="A58" s="24" t="s">
        <v>48</v>
      </c>
      <c r="B58" s="32">
        <f>B56-B57</f>
        <v>0</v>
      </c>
    </row>
    <row r="60" spans="1:4" x14ac:dyDescent="0.35">
      <c r="A60" s="33" t="s">
        <v>57</v>
      </c>
      <c r="B60" s="34"/>
      <c r="C60" s="35" t="s">
        <v>58</v>
      </c>
      <c r="D60" s="35"/>
    </row>
    <row r="61" spans="1:4" x14ac:dyDescent="0.35">
      <c r="A61" s="24" t="s">
        <v>49</v>
      </c>
      <c r="B61" s="32">
        <f>B7*B4 + IF(B17=1,0,B11)</f>
        <v>0</v>
      </c>
    </row>
    <row r="62" spans="1:4" x14ac:dyDescent="0.35">
      <c r="A62" s="24" t="s">
        <v>50</v>
      </c>
      <c r="B62" s="32">
        <f>(B8+B9+B10)*B4+B5</f>
        <v>0</v>
      </c>
    </row>
    <row r="63" spans="1:4" x14ac:dyDescent="0.35">
      <c r="A63" s="24" t="s">
        <v>51</v>
      </c>
      <c r="B63" s="32">
        <f>B61-B62</f>
        <v>0</v>
      </c>
    </row>
    <row r="64" spans="1:4" x14ac:dyDescent="0.35">
      <c r="A64" s="24" t="s">
        <v>52</v>
      </c>
      <c r="B64" s="32">
        <f>B46</f>
        <v>0</v>
      </c>
    </row>
    <row r="65" spans="1:2" x14ac:dyDescent="0.35">
      <c r="A65" s="24" t="s">
        <v>53</v>
      </c>
      <c r="B65" s="32">
        <f>B59</f>
        <v>0</v>
      </c>
    </row>
    <row r="66" spans="1:2" x14ac:dyDescent="0.35">
      <c r="A66" s="24" t="s">
        <v>54</v>
      </c>
      <c r="B66" s="32">
        <f>B63-B64-B65</f>
        <v>0</v>
      </c>
    </row>
  </sheetData>
  <mergeCells count="9">
    <mergeCell ref="A40:B40"/>
    <mergeCell ref="A47:B47"/>
    <mergeCell ref="A60:B60"/>
    <mergeCell ref="D9:U9"/>
    <mergeCell ref="A1:C1"/>
    <mergeCell ref="A19:B19"/>
    <mergeCell ref="A31:B31"/>
    <mergeCell ref="A3:B3"/>
    <mergeCell ref="A2:B2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7928-9547-49C7-9499-3456F73483AD}">
  <dimension ref="A1:U66"/>
  <sheetViews>
    <sheetView tabSelected="1" workbookViewId="0">
      <selection activeCell="F25" sqref="F25"/>
    </sheetView>
  </sheetViews>
  <sheetFormatPr baseColWidth="10" defaultColWidth="9.1796875" defaultRowHeight="14.5" x14ac:dyDescent="0.35"/>
  <cols>
    <col min="1" max="1" width="69.81640625" style="21" customWidth="1"/>
    <col min="2" max="2" width="32.1796875" style="21" customWidth="1"/>
    <col min="3" max="3" width="4.1796875" style="21" customWidth="1"/>
    <col min="4" max="4" width="32" style="21" customWidth="1"/>
    <col min="5" max="16384" width="9.1796875" style="21"/>
  </cols>
  <sheetData>
    <row r="1" spans="1:21" ht="21" x14ac:dyDescent="0.35">
      <c r="A1" s="19" t="s">
        <v>55</v>
      </c>
      <c r="B1" s="20"/>
      <c r="C1" s="20"/>
    </row>
    <row r="2" spans="1:21" ht="21" x14ac:dyDescent="0.35">
      <c r="A2" s="22" t="s">
        <v>56</v>
      </c>
      <c r="B2" s="22"/>
    </row>
    <row r="3" spans="1:21" ht="21" x14ac:dyDescent="0.35">
      <c r="A3" s="23" t="s">
        <v>0</v>
      </c>
      <c r="B3" s="23"/>
    </row>
    <row r="4" spans="1:21" ht="21" x14ac:dyDescent="0.5">
      <c r="A4" s="24" t="s">
        <v>1</v>
      </c>
      <c r="B4" s="4">
        <v>8</v>
      </c>
    </row>
    <row r="5" spans="1:21" ht="21" x14ac:dyDescent="0.5">
      <c r="A5" s="24" t="s">
        <v>2</v>
      </c>
      <c r="B5" s="1">
        <v>345000</v>
      </c>
      <c r="D5" s="27" t="s">
        <v>64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21" x14ac:dyDescent="0.5">
      <c r="A6" s="24" t="s">
        <v>3</v>
      </c>
      <c r="B6" s="5">
        <v>0.19</v>
      </c>
    </row>
    <row r="7" spans="1:21" ht="21" x14ac:dyDescent="0.5">
      <c r="A7" s="24" t="s">
        <v>4</v>
      </c>
      <c r="B7" s="1">
        <v>38000</v>
      </c>
      <c r="D7" s="27" t="s">
        <v>63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ht="21" x14ac:dyDescent="0.5">
      <c r="A8" s="24" t="s">
        <v>5</v>
      </c>
      <c r="B8" s="1">
        <v>18000</v>
      </c>
      <c r="D8" s="27" t="s">
        <v>62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ht="45.5" customHeight="1" x14ac:dyDescent="0.5">
      <c r="A9" s="24" t="s">
        <v>6</v>
      </c>
      <c r="B9" s="1">
        <v>2900</v>
      </c>
      <c r="D9" s="18" t="s">
        <v>97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ht="21" x14ac:dyDescent="0.5">
      <c r="A10" s="24" t="s">
        <v>7</v>
      </c>
      <c r="B10" s="1">
        <v>8000</v>
      </c>
      <c r="D10" s="27" t="s">
        <v>61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ht="21" x14ac:dyDescent="0.5">
      <c r="A11" s="24" t="s">
        <v>8</v>
      </c>
      <c r="B11" s="1">
        <v>230000</v>
      </c>
      <c r="D11" s="27" t="s">
        <v>60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ht="21" x14ac:dyDescent="0.5">
      <c r="A12" s="24" t="s">
        <v>9</v>
      </c>
      <c r="B12" s="5">
        <v>0.42</v>
      </c>
      <c r="D12" s="27" t="s">
        <v>59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ht="21" x14ac:dyDescent="0.5">
      <c r="A13" s="24" t="s">
        <v>10</v>
      </c>
      <c r="B13" s="4">
        <v>12</v>
      </c>
      <c r="D13" s="27" t="s">
        <v>65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ht="21" x14ac:dyDescent="0.35">
      <c r="A14" s="24" t="s">
        <v>11</v>
      </c>
      <c r="B14" s="24" t="s">
        <v>12</v>
      </c>
    </row>
    <row r="16" spans="1:21" ht="21" x14ac:dyDescent="0.35">
      <c r="A16" s="29" t="s">
        <v>13</v>
      </c>
      <c r="B16" s="30">
        <f>1+B6</f>
        <v>1.19</v>
      </c>
    </row>
    <row r="17" spans="1:21" ht="21" x14ac:dyDescent="0.35">
      <c r="A17" s="29" t="s">
        <v>14</v>
      </c>
      <c r="B17" s="24">
        <v>1</v>
      </c>
    </row>
    <row r="19" spans="1:21" ht="21" x14ac:dyDescent="0.35">
      <c r="A19" s="31" t="s">
        <v>15</v>
      </c>
      <c r="B19" s="31"/>
      <c r="D19" s="27" t="s">
        <v>66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ht="21" x14ac:dyDescent="0.35">
      <c r="A20" s="24" t="s">
        <v>16</v>
      </c>
      <c r="B20" s="32">
        <f>B7*B4</f>
        <v>304000</v>
      </c>
    </row>
    <row r="21" spans="1:21" ht="21" x14ac:dyDescent="0.35">
      <c r="A21" s="24" t="s">
        <v>17</v>
      </c>
      <c r="B21" s="32">
        <f>(B8+B9+B10)*B4</f>
        <v>231200</v>
      </c>
    </row>
    <row r="22" spans="1:21" ht="21" x14ac:dyDescent="0.35">
      <c r="A22" s="24" t="s">
        <v>18</v>
      </c>
      <c r="B22" s="32">
        <f>B20-B21</f>
        <v>72800</v>
      </c>
    </row>
    <row r="23" spans="1:21" ht="21" x14ac:dyDescent="0.35">
      <c r="A23" s="24" t="s">
        <v>19</v>
      </c>
      <c r="B23" s="32">
        <f>B5</f>
        <v>345000</v>
      </c>
    </row>
    <row r="24" spans="1:21" ht="21" x14ac:dyDescent="0.35">
      <c r="A24" s="24" t="s">
        <v>20</v>
      </c>
      <c r="B24" s="32">
        <f>B11</f>
        <v>230000</v>
      </c>
    </row>
    <row r="25" spans="1:21" ht="21" x14ac:dyDescent="0.35">
      <c r="A25" s="24" t="s">
        <v>21</v>
      </c>
      <c r="B25" s="32">
        <f>B23-B24</f>
        <v>115000</v>
      </c>
    </row>
    <row r="26" spans="1:21" ht="21" x14ac:dyDescent="0.35">
      <c r="A26" s="24" t="s">
        <v>22</v>
      </c>
      <c r="B26" s="32">
        <f>B22-B25</f>
        <v>-42200</v>
      </c>
    </row>
    <row r="27" spans="1:21" ht="21" x14ac:dyDescent="0.35">
      <c r="A27" s="24" t="s">
        <v>23</v>
      </c>
      <c r="B27" s="32">
        <f>0</f>
        <v>0</v>
      </c>
    </row>
    <row r="28" spans="1:21" ht="21" x14ac:dyDescent="0.35">
      <c r="A28" s="24" t="s">
        <v>24</v>
      </c>
      <c r="B28" s="32">
        <f>B26-B27</f>
        <v>-42200</v>
      </c>
    </row>
    <row r="31" spans="1:21" ht="21" x14ac:dyDescent="0.35">
      <c r="A31" s="31" t="s">
        <v>25</v>
      </c>
      <c r="B31" s="31"/>
    </row>
    <row r="32" spans="1:21" ht="21" x14ac:dyDescent="0.35">
      <c r="A32" s="24" t="s">
        <v>26</v>
      </c>
      <c r="B32" s="32">
        <f>B5/(1+B6)</f>
        <v>289915.96638655465</v>
      </c>
    </row>
    <row r="33" spans="1:2" ht="21" x14ac:dyDescent="0.35">
      <c r="A33" s="24" t="s">
        <v>27</v>
      </c>
      <c r="B33" s="32">
        <f>B7/(1+B6)</f>
        <v>31932.773109243699</v>
      </c>
    </row>
    <row r="34" spans="1:2" ht="21" x14ac:dyDescent="0.35">
      <c r="A34" s="24" t="s">
        <v>28</v>
      </c>
      <c r="B34" s="32">
        <f>B8/(1+B6)</f>
        <v>15126.050420168069</v>
      </c>
    </row>
    <row r="35" spans="1:2" ht="21" x14ac:dyDescent="0.35">
      <c r="A35" s="24" t="s">
        <v>29</v>
      </c>
      <c r="B35" s="32">
        <f>B9/(1+B6)</f>
        <v>2436.9747899159665</v>
      </c>
    </row>
    <row r="36" spans="1:2" ht="21" x14ac:dyDescent="0.35">
      <c r="A36" s="24" t="s">
        <v>30</v>
      </c>
      <c r="B36" s="32">
        <f>B10/(1+B6)</f>
        <v>6722.6890756302528</v>
      </c>
    </row>
    <row r="37" spans="1:2" ht="21" x14ac:dyDescent="0.35">
      <c r="A37" s="24" t="s">
        <v>31</v>
      </c>
      <c r="B37" s="32">
        <f>B11/(1+B6)</f>
        <v>193277.31092436975</v>
      </c>
    </row>
    <row r="40" spans="1:2" ht="21" x14ac:dyDescent="0.35">
      <c r="A40" s="33" t="s">
        <v>32</v>
      </c>
      <c r="B40" s="34"/>
    </row>
    <row r="41" spans="1:2" ht="21" x14ac:dyDescent="0.35">
      <c r="A41" s="24" t="s">
        <v>33</v>
      </c>
      <c r="B41" s="32">
        <f>B32*B6</f>
        <v>55084.033613445383</v>
      </c>
    </row>
    <row r="42" spans="1:2" ht="21" x14ac:dyDescent="0.35">
      <c r="A42" s="24" t="s">
        <v>34</v>
      </c>
      <c r="B42" s="32">
        <f>(B34+B35+B36)*B6*B4</f>
        <v>36914.285714285717</v>
      </c>
    </row>
    <row r="43" spans="1:2" ht="21" x14ac:dyDescent="0.35">
      <c r="A43" s="24" t="s">
        <v>35</v>
      </c>
      <c r="B43" s="32">
        <f>B33*B6*B4</f>
        <v>48537.815126050424</v>
      </c>
    </row>
    <row r="44" spans="1:2" ht="21" x14ac:dyDescent="0.35">
      <c r="A44" s="24" t="s">
        <v>36</v>
      </c>
      <c r="B44" s="32">
        <f>B37*B6</f>
        <v>36722.689075630253</v>
      </c>
    </row>
    <row r="45" spans="1:2" ht="21" x14ac:dyDescent="0.35">
      <c r="A45" s="24" t="s">
        <v>37</v>
      </c>
      <c r="B45" s="32">
        <f>B42+B43+B44-(B40+B41)</f>
        <v>67090.756302521011</v>
      </c>
    </row>
    <row r="47" spans="1:2" ht="21" x14ac:dyDescent="0.35">
      <c r="A47" s="33" t="s">
        <v>38</v>
      </c>
      <c r="B47" s="34"/>
    </row>
    <row r="48" spans="1:2" ht="21" x14ac:dyDescent="0.35">
      <c r="A48" s="24" t="s">
        <v>39</v>
      </c>
      <c r="B48" s="32">
        <f>B32/B13</f>
        <v>24159.663865546219</v>
      </c>
    </row>
    <row r="49" spans="1:4" ht="21" x14ac:dyDescent="0.35">
      <c r="A49" s="24" t="s">
        <v>111</v>
      </c>
      <c r="B49" s="32">
        <f>B32-B48*B4</f>
        <v>96638.655462184892</v>
      </c>
    </row>
    <row r="50" spans="1:4" ht="21" x14ac:dyDescent="0.35">
      <c r="A50" s="24" t="s">
        <v>40</v>
      </c>
      <c r="B50" s="32">
        <f>B37-B49</f>
        <v>96638.655462184863</v>
      </c>
    </row>
    <row r="51" spans="1:4" ht="21" x14ac:dyDescent="0.35">
      <c r="A51" s="24" t="s">
        <v>41</v>
      </c>
      <c r="B51" s="32">
        <f>B33*B4</f>
        <v>255462.18487394959</v>
      </c>
    </row>
    <row r="52" spans="1:4" ht="21" x14ac:dyDescent="0.35">
      <c r="A52" s="24" t="s">
        <v>42</v>
      </c>
      <c r="B52" s="32">
        <f>(B34+B35+B36)*B4</f>
        <v>194285.71428571432</v>
      </c>
    </row>
    <row r="53" spans="1:4" ht="21" x14ac:dyDescent="0.35">
      <c r="A53" s="24" t="s">
        <v>43</v>
      </c>
      <c r="B53" s="32">
        <f>B51-B52</f>
        <v>61176.470588235272</v>
      </c>
    </row>
    <row r="54" spans="1:4" ht="21" x14ac:dyDescent="0.35">
      <c r="A54" s="24" t="s">
        <v>44</v>
      </c>
      <c r="B54" s="32">
        <f>B48*B4</f>
        <v>193277.31092436975</v>
      </c>
    </row>
    <row r="55" spans="1:4" ht="21" x14ac:dyDescent="0.35">
      <c r="A55" s="24" t="s">
        <v>45</v>
      </c>
      <c r="B55" s="32">
        <f>B53-B54</f>
        <v>-132100.84033613448</v>
      </c>
    </row>
    <row r="56" spans="1:4" ht="21" x14ac:dyDescent="0.35">
      <c r="A56" s="24" t="s">
        <v>46</v>
      </c>
      <c r="B56" s="32">
        <f>B55+B50</f>
        <v>-35462.18487394962</v>
      </c>
    </row>
    <row r="57" spans="1:4" ht="21" x14ac:dyDescent="0.35">
      <c r="A57" s="24" t="s">
        <v>47</v>
      </c>
      <c r="B57" s="32">
        <f>MAX(0,B56*B12)</f>
        <v>0</v>
      </c>
    </row>
    <row r="58" spans="1:4" ht="21" x14ac:dyDescent="0.35">
      <c r="A58" s="24" t="s">
        <v>48</v>
      </c>
      <c r="B58" s="32">
        <f>B56-B57</f>
        <v>-35462.18487394962</v>
      </c>
    </row>
    <row r="60" spans="1:4" ht="21" x14ac:dyDescent="0.35">
      <c r="A60" s="33" t="s">
        <v>57</v>
      </c>
      <c r="B60" s="34"/>
      <c r="C60" s="35" t="s">
        <v>58</v>
      </c>
      <c r="D60" s="35"/>
    </row>
    <row r="61" spans="1:4" ht="21" x14ac:dyDescent="0.35">
      <c r="A61" s="24" t="s">
        <v>49</v>
      </c>
      <c r="B61" s="32">
        <f>B7*B4 + IF(B17=1,0,B11)</f>
        <v>304000</v>
      </c>
    </row>
    <row r="62" spans="1:4" ht="21" x14ac:dyDescent="0.35">
      <c r="A62" s="24" t="s">
        <v>50</v>
      </c>
      <c r="B62" s="32">
        <f>(B8+B9+B10)*B4+B5</f>
        <v>576200</v>
      </c>
    </row>
    <row r="63" spans="1:4" ht="21" x14ac:dyDescent="0.35">
      <c r="A63" s="24" t="s">
        <v>51</v>
      </c>
      <c r="B63" s="32">
        <f>B61-B62</f>
        <v>-272200</v>
      </c>
    </row>
    <row r="64" spans="1:4" ht="21" x14ac:dyDescent="0.35">
      <c r="A64" s="24" t="s">
        <v>52</v>
      </c>
      <c r="B64" s="32">
        <f>B46</f>
        <v>0</v>
      </c>
    </row>
    <row r="65" spans="1:2" ht="21" x14ac:dyDescent="0.35">
      <c r="A65" s="24" t="s">
        <v>53</v>
      </c>
      <c r="B65" s="32">
        <f>B59</f>
        <v>0</v>
      </c>
    </row>
    <row r="66" spans="1:2" ht="21" x14ac:dyDescent="0.35">
      <c r="A66" s="24" t="s">
        <v>54</v>
      </c>
      <c r="B66" s="32">
        <f>B63-B64-B65</f>
        <v>-272200</v>
      </c>
    </row>
  </sheetData>
  <mergeCells count="9">
    <mergeCell ref="A40:B40"/>
    <mergeCell ref="A47:B47"/>
    <mergeCell ref="A60:B60"/>
    <mergeCell ref="A1:C1"/>
    <mergeCell ref="A2:B2"/>
    <mergeCell ref="A3:B3"/>
    <mergeCell ref="D9:U9"/>
    <mergeCell ref="A19:B19"/>
    <mergeCell ref="A31:B3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82078-D10D-48EA-A722-B85350CB93FA}">
  <dimension ref="A1:U66"/>
  <sheetViews>
    <sheetView topLeftCell="A10" workbookViewId="0">
      <selection activeCell="A10" sqref="A1:XFD1048576"/>
    </sheetView>
  </sheetViews>
  <sheetFormatPr baseColWidth="10" defaultColWidth="9.1796875" defaultRowHeight="21" x14ac:dyDescent="0.5"/>
  <cols>
    <col min="1" max="1" width="69.81640625" style="21" customWidth="1"/>
    <col min="2" max="2" width="32.1796875" style="2" customWidth="1"/>
    <col min="3" max="3" width="4.1796875" style="2" customWidth="1"/>
    <col min="4" max="4" width="32" style="2" customWidth="1"/>
    <col min="5" max="16384" width="9.1796875" style="2"/>
  </cols>
  <sheetData>
    <row r="1" spans="1:21" x14ac:dyDescent="0.5">
      <c r="A1" s="10" t="s">
        <v>67</v>
      </c>
      <c r="B1" s="11"/>
      <c r="C1" s="11"/>
    </row>
    <row r="2" spans="1:21" x14ac:dyDescent="0.5">
      <c r="A2" s="14" t="s">
        <v>68</v>
      </c>
      <c r="B2" s="14"/>
    </row>
    <row r="3" spans="1:21" x14ac:dyDescent="0.5">
      <c r="A3" s="13" t="s">
        <v>69</v>
      </c>
      <c r="B3" s="13"/>
    </row>
    <row r="4" spans="1:21" x14ac:dyDescent="0.5">
      <c r="A4" s="24" t="s">
        <v>70</v>
      </c>
      <c r="B4" s="4"/>
    </row>
    <row r="5" spans="1:21" x14ac:dyDescent="0.5">
      <c r="A5" s="24" t="s">
        <v>74</v>
      </c>
      <c r="B5" s="1"/>
      <c r="D5" s="9" t="s">
        <v>130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5">
      <c r="A6" s="24" t="s">
        <v>71</v>
      </c>
      <c r="B6" s="5">
        <v>0.19</v>
      </c>
    </row>
    <row r="7" spans="1:21" x14ac:dyDescent="0.5">
      <c r="A7" s="24" t="s">
        <v>73</v>
      </c>
      <c r="B7" s="1"/>
      <c r="D7" s="9" t="s">
        <v>131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x14ac:dyDescent="0.5">
      <c r="A8" s="24" t="s">
        <v>72</v>
      </c>
      <c r="B8" s="1"/>
      <c r="D8" s="9" t="s">
        <v>132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40.5" customHeight="1" x14ac:dyDescent="0.5">
      <c r="A9" s="24" t="s">
        <v>99</v>
      </c>
      <c r="B9" s="1"/>
      <c r="D9" s="17" t="s">
        <v>98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x14ac:dyDescent="0.5">
      <c r="A10" s="24" t="s">
        <v>75</v>
      </c>
      <c r="B10" s="1"/>
      <c r="D10" s="9" t="s">
        <v>133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x14ac:dyDescent="0.5">
      <c r="A11" s="24" t="s">
        <v>76</v>
      </c>
      <c r="B11" s="1"/>
      <c r="D11" s="9" t="s">
        <v>134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x14ac:dyDescent="0.5">
      <c r="A12" s="24" t="s">
        <v>77</v>
      </c>
      <c r="B12" s="5">
        <v>0.42</v>
      </c>
      <c r="D12" s="9" t="s">
        <v>134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x14ac:dyDescent="0.5">
      <c r="A13" s="24" t="s">
        <v>78</v>
      </c>
      <c r="B13" s="4">
        <v>12</v>
      </c>
      <c r="D13" s="9" t="s">
        <v>135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x14ac:dyDescent="0.5">
      <c r="A14" s="24" t="s">
        <v>80</v>
      </c>
      <c r="B14" s="3" t="s">
        <v>81</v>
      </c>
    </row>
    <row r="16" spans="1:21" x14ac:dyDescent="0.5">
      <c r="A16" s="29" t="s">
        <v>79</v>
      </c>
      <c r="B16" s="6">
        <f>1+B6</f>
        <v>1.19</v>
      </c>
    </row>
    <row r="17" spans="1:21" x14ac:dyDescent="0.5">
      <c r="A17" s="29" t="s">
        <v>82</v>
      </c>
      <c r="B17" s="3">
        <v>1</v>
      </c>
    </row>
    <row r="19" spans="1:21" x14ac:dyDescent="0.5">
      <c r="A19" s="12" t="s">
        <v>83</v>
      </c>
      <c r="B19" s="12"/>
      <c r="D19" s="9" t="s">
        <v>136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x14ac:dyDescent="0.5">
      <c r="A20" s="24" t="s">
        <v>84</v>
      </c>
      <c r="B20" s="7">
        <f>B7*B4</f>
        <v>0</v>
      </c>
    </row>
    <row r="21" spans="1:21" x14ac:dyDescent="0.5">
      <c r="A21" s="24" t="s">
        <v>85</v>
      </c>
      <c r="B21" s="7">
        <f>(B8+B9+B10)*B4</f>
        <v>0</v>
      </c>
    </row>
    <row r="22" spans="1:21" x14ac:dyDescent="0.5">
      <c r="A22" s="24" t="s">
        <v>86</v>
      </c>
      <c r="B22" s="7">
        <f>B20-B21</f>
        <v>0</v>
      </c>
    </row>
    <row r="23" spans="1:21" x14ac:dyDescent="0.5">
      <c r="A23" s="24" t="s">
        <v>87</v>
      </c>
      <c r="B23" s="7">
        <f>B5</f>
        <v>0</v>
      </c>
    </row>
    <row r="24" spans="1:21" x14ac:dyDescent="0.5">
      <c r="A24" s="24" t="s">
        <v>88</v>
      </c>
      <c r="B24" s="7">
        <f>B11</f>
        <v>0</v>
      </c>
    </row>
    <row r="25" spans="1:21" x14ac:dyDescent="0.5">
      <c r="A25" s="24" t="s">
        <v>89</v>
      </c>
      <c r="B25" s="7">
        <f>B23-B24</f>
        <v>0</v>
      </c>
    </row>
    <row r="26" spans="1:21" x14ac:dyDescent="0.5">
      <c r="A26" s="24" t="s">
        <v>90</v>
      </c>
      <c r="B26" s="7">
        <f>B22-B25</f>
        <v>0</v>
      </c>
    </row>
    <row r="27" spans="1:21" x14ac:dyDescent="0.5">
      <c r="A27" s="24" t="s">
        <v>91</v>
      </c>
      <c r="B27" s="7">
        <f>0</f>
        <v>0</v>
      </c>
    </row>
    <row r="28" spans="1:21" x14ac:dyDescent="0.5">
      <c r="A28" s="24" t="s">
        <v>92</v>
      </c>
      <c r="B28" s="7">
        <f>B26-B27</f>
        <v>0</v>
      </c>
    </row>
    <row r="31" spans="1:21" x14ac:dyDescent="0.5">
      <c r="A31" s="12" t="s">
        <v>102</v>
      </c>
      <c r="B31" s="12"/>
    </row>
    <row r="32" spans="1:21" x14ac:dyDescent="0.5">
      <c r="A32" s="24" t="s">
        <v>93</v>
      </c>
      <c r="B32" s="7">
        <f>B5/(1+B6)</f>
        <v>0</v>
      </c>
    </row>
    <row r="33" spans="1:2" x14ac:dyDescent="0.5">
      <c r="A33" s="24" t="s">
        <v>94</v>
      </c>
      <c r="B33" s="7">
        <f>B7/(1+B6)</f>
        <v>0</v>
      </c>
    </row>
    <row r="34" spans="1:2" x14ac:dyDescent="0.5">
      <c r="A34" s="24" t="s">
        <v>95</v>
      </c>
      <c r="B34" s="7">
        <f>B8/(1+B6)</f>
        <v>0</v>
      </c>
    </row>
    <row r="35" spans="1:2" x14ac:dyDescent="0.5">
      <c r="A35" s="24" t="s">
        <v>96</v>
      </c>
      <c r="B35" s="7">
        <f>B9/(1+B6)</f>
        <v>0</v>
      </c>
    </row>
    <row r="36" spans="1:2" x14ac:dyDescent="0.5">
      <c r="A36" s="24" t="s">
        <v>100</v>
      </c>
      <c r="B36" s="7">
        <f>B10/(1+B6)</f>
        <v>0</v>
      </c>
    </row>
    <row r="37" spans="1:2" x14ac:dyDescent="0.5">
      <c r="A37" s="24" t="s">
        <v>101</v>
      </c>
      <c r="B37" s="7">
        <f>B11/(1+B6)</f>
        <v>0</v>
      </c>
    </row>
    <row r="40" spans="1:2" x14ac:dyDescent="0.5">
      <c r="A40" s="15" t="s">
        <v>103</v>
      </c>
      <c r="B40" s="16"/>
    </row>
    <row r="41" spans="1:2" x14ac:dyDescent="0.5">
      <c r="A41" s="24" t="s">
        <v>104</v>
      </c>
      <c r="B41" s="7">
        <f>B32*B6</f>
        <v>0</v>
      </c>
    </row>
    <row r="42" spans="1:2" x14ac:dyDescent="0.5">
      <c r="A42" s="24" t="s">
        <v>105</v>
      </c>
      <c r="B42" s="7">
        <f>(B34+B35+B36)*B6*B4</f>
        <v>0</v>
      </c>
    </row>
    <row r="43" spans="1:2" x14ac:dyDescent="0.5">
      <c r="A43" s="24" t="s">
        <v>106</v>
      </c>
      <c r="B43" s="7">
        <f>B33*B6*B4</f>
        <v>0</v>
      </c>
    </row>
    <row r="44" spans="1:2" x14ac:dyDescent="0.5">
      <c r="A44" s="24" t="s">
        <v>107</v>
      </c>
      <c r="B44" s="7">
        <f>B37*B6</f>
        <v>0</v>
      </c>
    </row>
    <row r="45" spans="1:2" x14ac:dyDescent="0.5">
      <c r="A45" s="24" t="s">
        <v>108</v>
      </c>
      <c r="B45" s="7">
        <f>B42+B43+B44-(B40+B41)</f>
        <v>0</v>
      </c>
    </row>
    <row r="47" spans="1:2" x14ac:dyDescent="0.5">
      <c r="A47" s="15" t="s">
        <v>109</v>
      </c>
      <c r="B47" s="16"/>
    </row>
    <row r="48" spans="1:2" x14ac:dyDescent="0.5">
      <c r="A48" s="24" t="s">
        <v>110</v>
      </c>
      <c r="B48" s="7">
        <f>B32/B13</f>
        <v>0</v>
      </c>
    </row>
    <row r="49" spans="1:4" x14ac:dyDescent="0.5">
      <c r="A49" s="24" t="s">
        <v>112</v>
      </c>
      <c r="B49" s="7">
        <f>B32-B48*B4</f>
        <v>0</v>
      </c>
    </row>
    <row r="50" spans="1:4" x14ac:dyDescent="0.5">
      <c r="A50" s="24" t="s">
        <v>113</v>
      </c>
      <c r="B50" s="7">
        <f>B37-B49</f>
        <v>0</v>
      </c>
    </row>
    <row r="51" spans="1:4" x14ac:dyDescent="0.5">
      <c r="A51" s="24" t="s">
        <v>114</v>
      </c>
      <c r="B51" s="7">
        <f>B33*B4</f>
        <v>0</v>
      </c>
    </row>
    <row r="52" spans="1:4" x14ac:dyDescent="0.5">
      <c r="A52" s="24" t="s">
        <v>115</v>
      </c>
      <c r="B52" s="7">
        <f>(B34+B35+B36)*B4</f>
        <v>0</v>
      </c>
    </row>
    <row r="53" spans="1:4" x14ac:dyDescent="0.5">
      <c r="A53" s="24" t="s">
        <v>116</v>
      </c>
      <c r="B53" s="7">
        <f>B51-B52</f>
        <v>0</v>
      </c>
    </row>
    <row r="54" spans="1:4" x14ac:dyDescent="0.5">
      <c r="A54" s="24" t="s">
        <v>117</v>
      </c>
      <c r="B54" s="7">
        <f>B48*B4</f>
        <v>0</v>
      </c>
    </row>
    <row r="55" spans="1:4" x14ac:dyDescent="0.5">
      <c r="A55" s="24" t="s">
        <v>118</v>
      </c>
      <c r="B55" s="7">
        <f>B53-B54</f>
        <v>0</v>
      </c>
    </row>
    <row r="56" spans="1:4" x14ac:dyDescent="0.5">
      <c r="A56" s="24" t="s">
        <v>119</v>
      </c>
      <c r="B56" s="7">
        <f>B55+B50</f>
        <v>0</v>
      </c>
    </row>
    <row r="57" spans="1:4" x14ac:dyDescent="0.5">
      <c r="A57" s="24" t="s">
        <v>120</v>
      </c>
      <c r="B57" s="7">
        <f>MAX(0,B56*B12)</f>
        <v>0</v>
      </c>
    </row>
    <row r="58" spans="1:4" x14ac:dyDescent="0.5">
      <c r="A58" s="24" t="s">
        <v>121</v>
      </c>
      <c r="B58" s="7">
        <f>B56-B57</f>
        <v>0</v>
      </c>
    </row>
    <row r="60" spans="1:4" x14ac:dyDescent="0.5">
      <c r="A60" s="15" t="s">
        <v>122</v>
      </c>
      <c r="B60" s="16"/>
      <c r="C60" s="8" t="s">
        <v>129</v>
      </c>
      <c r="D60" s="8"/>
    </row>
    <row r="61" spans="1:4" x14ac:dyDescent="0.5">
      <c r="A61" s="24" t="s">
        <v>123</v>
      </c>
      <c r="B61" s="7">
        <f>B7*B4 + IF(B17=1,0,B11)</f>
        <v>0</v>
      </c>
    </row>
    <row r="62" spans="1:4" x14ac:dyDescent="0.5">
      <c r="A62" s="24" t="s">
        <v>124</v>
      </c>
      <c r="B62" s="7">
        <f>(B8+B9+B10)*B4+B5</f>
        <v>0</v>
      </c>
    </row>
    <row r="63" spans="1:4" x14ac:dyDescent="0.5">
      <c r="A63" s="24" t="s">
        <v>125</v>
      </c>
      <c r="B63" s="7">
        <f>B61-B62</f>
        <v>0</v>
      </c>
    </row>
    <row r="64" spans="1:4" x14ac:dyDescent="0.5">
      <c r="A64" s="24" t="s">
        <v>126</v>
      </c>
      <c r="B64" s="7">
        <f>B46</f>
        <v>0</v>
      </c>
    </row>
    <row r="65" spans="1:2" x14ac:dyDescent="0.5">
      <c r="A65" s="24" t="s">
        <v>127</v>
      </c>
      <c r="B65" s="7">
        <f>B59</f>
        <v>0</v>
      </c>
    </row>
    <row r="66" spans="1:2" x14ac:dyDescent="0.5">
      <c r="A66" s="24" t="s">
        <v>128</v>
      </c>
      <c r="B66" s="7">
        <f>B63-B64-B65</f>
        <v>0</v>
      </c>
    </row>
  </sheetData>
  <mergeCells count="9">
    <mergeCell ref="A47:B47"/>
    <mergeCell ref="A60:B60"/>
    <mergeCell ref="D9:U9"/>
    <mergeCell ref="A1:C1"/>
    <mergeCell ref="A2:B2"/>
    <mergeCell ref="A3:B3"/>
    <mergeCell ref="A19:B19"/>
    <mergeCell ref="A31:B31"/>
    <mergeCell ref="A40:B4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BEEB-4C7C-46D6-BA6A-7C6188F62F3A}">
  <dimension ref="A1:U66"/>
  <sheetViews>
    <sheetView workbookViewId="0">
      <selection activeCell="B4" sqref="B4:B13"/>
    </sheetView>
  </sheetViews>
  <sheetFormatPr baseColWidth="10" defaultColWidth="9.1796875" defaultRowHeight="14.5" x14ac:dyDescent="0.5"/>
  <cols>
    <col min="1" max="1" width="69.81640625" style="21" customWidth="1"/>
    <col min="2" max="2" width="32.1796875" style="2" customWidth="1"/>
    <col min="3" max="3" width="4.1796875" style="2" customWidth="1"/>
    <col min="4" max="4" width="32" style="2" customWidth="1"/>
    <col min="5" max="16384" width="9.1796875" style="2"/>
  </cols>
  <sheetData>
    <row r="1" spans="1:21" ht="21" x14ac:dyDescent="0.5">
      <c r="A1" s="10" t="s">
        <v>67</v>
      </c>
      <c r="B1" s="11"/>
      <c r="C1" s="11"/>
    </row>
    <row r="2" spans="1:21" ht="21" x14ac:dyDescent="0.5">
      <c r="A2" s="14" t="s">
        <v>68</v>
      </c>
      <c r="B2" s="14"/>
    </row>
    <row r="3" spans="1:21" ht="21" x14ac:dyDescent="0.5">
      <c r="A3" s="13" t="s">
        <v>69</v>
      </c>
      <c r="B3" s="13"/>
    </row>
    <row r="4" spans="1:21" ht="21" x14ac:dyDescent="0.5">
      <c r="A4" s="24" t="s">
        <v>70</v>
      </c>
      <c r="B4" s="4">
        <v>8</v>
      </c>
    </row>
    <row r="5" spans="1:21" ht="21" x14ac:dyDescent="0.5">
      <c r="A5" s="24" t="s">
        <v>74</v>
      </c>
      <c r="B5" s="1">
        <v>345000</v>
      </c>
      <c r="D5" s="9" t="s">
        <v>130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21" x14ac:dyDescent="0.5">
      <c r="A6" s="24" t="s">
        <v>71</v>
      </c>
      <c r="B6" s="5">
        <v>0.19</v>
      </c>
    </row>
    <row r="7" spans="1:21" ht="21" x14ac:dyDescent="0.5">
      <c r="A7" s="24" t="s">
        <v>73</v>
      </c>
      <c r="B7" s="1">
        <v>38000</v>
      </c>
      <c r="D7" s="9" t="s">
        <v>131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21" x14ac:dyDescent="0.5">
      <c r="A8" s="24" t="s">
        <v>72</v>
      </c>
      <c r="B8" s="1">
        <v>18000</v>
      </c>
      <c r="D8" s="9" t="s">
        <v>132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40.5" customHeight="1" x14ac:dyDescent="0.5">
      <c r="A9" s="24" t="s">
        <v>99</v>
      </c>
      <c r="B9" s="1">
        <v>2900</v>
      </c>
      <c r="D9" s="17" t="s">
        <v>98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21" x14ac:dyDescent="0.5">
      <c r="A10" s="24" t="s">
        <v>75</v>
      </c>
      <c r="B10" s="1">
        <v>8000</v>
      </c>
      <c r="D10" s="9" t="s">
        <v>133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1" x14ac:dyDescent="0.5">
      <c r="A11" s="24" t="s">
        <v>76</v>
      </c>
      <c r="B11" s="1">
        <v>230000</v>
      </c>
      <c r="D11" s="9" t="s">
        <v>134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1" x14ac:dyDescent="0.5">
      <c r="A12" s="24" t="s">
        <v>77</v>
      </c>
      <c r="B12" s="5">
        <v>0.42</v>
      </c>
      <c r="D12" s="9" t="s">
        <v>134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1" x14ac:dyDescent="0.5">
      <c r="A13" s="24" t="s">
        <v>78</v>
      </c>
      <c r="B13" s="4">
        <v>12</v>
      </c>
      <c r="D13" s="9" t="s">
        <v>135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1" x14ac:dyDescent="0.5">
      <c r="A14" s="24" t="s">
        <v>80</v>
      </c>
      <c r="B14" s="3" t="s">
        <v>81</v>
      </c>
    </row>
    <row r="16" spans="1:21" ht="21" x14ac:dyDescent="0.5">
      <c r="A16" s="29" t="s">
        <v>79</v>
      </c>
      <c r="B16" s="6">
        <f>1+B6</f>
        <v>1.19</v>
      </c>
    </row>
    <row r="17" spans="1:21" ht="21" x14ac:dyDescent="0.5">
      <c r="A17" s="29" t="s">
        <v>82</v>
      </c>
      <c r="B17" s="3">
        <v>1</v>
      </c>
    </row>
    <row r="19" spans="1:21" ht="21" x14ac:dyDescent="0.5">
      <c r="A19" s="12" t="s">
        <v>83</v>
      </c>
      <c r="B19" s="12"/>
      <c r="D19" s="9" t="s">
        <v>136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21" x14ac:dyDescent="0.5">
      <c r="A20" s="24" t="s">
        <v>84</v>
      </c>
      <c r="B20" s="7">
        <f>B7*B4</f>
        <v>304000</v>
      </c>
    </row>
    <row r="21" spans="1:21" ht="21" x14ac:dyDescent="0.5">
      <c r="A21" s="24" t="s">
        <v>85</v>
      </c>
      <c r="B21" s="7">
        <f>(B8+B9+B10)*B4</f>
        <v>231200</v>
      </c>
    </row>
    <row r="22" spans="1:21" ht="21" x14ac:dyDescent="0.5">
      <c r="A22" s="24" t="s">
        <v>86</v>
      </c>
      <c r="B22" s="7">
        <f>B20-B21</f>
        <v>72800</v>
      </c>
    </row>
    <row r="23" spans="1:21" ht="21" x14ac:dyDescent="0.5">
      <c r="A23" s="24" t="s">
        <v>87</v>
      </c>
      <c r="B23" s="7">
        <f>B5</f>
        <v>345000</v>
      </c>
    </row>
    <row r="24" spans="1:21" ht="21" x14ac:dyDescent="0.5">
      <c r="A24" s="24" t="s">
        <v>88</v>
      </c>
      <c r="B24" s="7">
        <f>B11</f>
        <v>230000</v>
      </c>
    </row>
    <row r="25" spans="1:21" ht="21" x14ac:dyDescent="0.5">
      <c r="A25" s="24" t="s">
        <v>89</v>
      </c>
      <c r="B25" s="7">
        <f>B23-B24</f>
        <v>115000</v>
      </c>
    </row>
    <row r="26" spans="1:21" ht="21" x14ac:dyDescent="0.5">
      <c r="A26" s="24" t="s">
        <v>90</v>
      </c>
      <c r="B26" s="7">
        <f>B22-B25</f>
        <v>-42200</v>
      </c>
    </row>
    <row r="27" spans="1:21" ht="21" x14ac:dyDescent="0.5">
      <c r="A27" s="24" t="s">
        <v>91</v>
      </c>
      <c r="B27" s="7">
        <f>0</f>
        <v>0</v>
      </c>
    </row>
    <row r="28" spans="1:21" ht="21" x14ac:dyDescent="0.5">
      <c r="A28" s="24" t="s">
        <v>92</v>
      </c>
      <c r="B28" s="7">
        <f>B26-B27</f>
        <v>-42200</v>
      </c>
    </row>
    <row r="31" spans="1:21" ht="21" x14ac:dyDescent="0.5">
      <c r="A31" s="12" t="s">
        <v>102</v>
      </c>
      <c r="B31" s="12"/>
    </row>
    <row r="32" spans="1:21" ht="21" x14ac:dyDescent="0.5">
      <c r="A32" s="24" t="s">
        <v>93</v>
      </c>
      <c r="B32" s="7">
        <f>B5/(1+B6)</f>
        <v>289915.96638655465</v>
      </c>
    </row>
    <row r="33" spans="1:2" ht="21" x14ac:dyDescent="0.5">
      <c r="A33" s="24" t="s">
        <v>94</v>
      </c>
      <c r="B33" s="7">
        <f>B7/(1+B6)</f>
        <v>31932.773109243699</v>
      </c>
    </row>
    <row r="34" spans="1:2" ht="21" x14ac:dyDescent="0.5">
      <c r="A34" s="24" t="s">
        <v>95</v>
      </c>
      <c r="B34" s="7">
        <f>B8/(1+B6)</f>
        <v>15126.050420168069</v>
      </c>
    </row>
    <row r="35" spans="1:2" ht="21" x14ac:dyDescent="0.5">
      <c r="A35" s="24" t="s">
        <v>96</v>
      </c>
      <c r="B35" s="7">
        <f>B9/(1+B6)</f>
        <v>2436.9747899159665</v>
      </c>
    </row>
    <row r="36" spans="1:2" ht="21" x14ac:dyDescent="0.5">
      <c r="A36" s="24" t="s">
        <v>100</v>
      </c>
      <c r="B36" s="7">
        <f>B10/(1+B6)</f>
        <v>6722.6890756302528</v>
      </c>
    </row>
    <row r="37" spans="1:2" ht="21" x14ac:dyDescent="0.5">
      <c r="A37" s="24" t="s">
        <v>101</v>
      </c>
      <c r="B37" s="7">
        <f>B11/(1+B6)</f>
        <v>193277.31092436975</v>
      </c>
    </row>
    <row r="40" spans="1:2" ht="21" x14ac:dyDescent="0.5">
      <c r="A40" s="15" t="s">
        <v>103</v>
      </c>
      <c r="B40" s="16"/>
    </row>
    <row r="41" spans="1:2" ht="21" x14ac:dyDescent="0.5">
      <c r="A41" s="24" t="s">
        <v>104</v>
      </c>
      <c r="B41" s="7">
        <f>B32*B6</f>
        <v>55084.033613445383</v>
      </c>
    </row>
    <row r="42" spans="1:2" ht="21" x14ac:dyDescent="0.5">
      <c r="A42" s="24" t="s">
        <v>105</v>
      </c>
      <c r="B42" s="7">
        <f>(B34+B35+B36)*B6*B4</f>
        <v>36914.285714285717</v>
      </c>
    </row>
    <row r="43" spans="1:2" ht="21" x14ac:dyDescent="0.5">
      <c r="A43" s="24" t="s">
        <v>106</v>
      </c>
      <c r="B43" s="7">
        <f>B33*B6*B4</f>
        <v>48537.815126050424</v>
      </c>
    </row>
    <row r="44" spans="1:2" ht="21" x14ac:dyDescent="0.5">
      <c r="A44" s="24" t="s">
        <v>107</v>
      </c>
      <c r="B44" s="7">
        <f>B37*B6</f>
        <v>36722.689075630253</v>
      </c>
    </row>
    <row r="45" spans="1:2" ht="21" x14ac:dyDescent="0.5">
      <c r="A45" s="24" t="s">
        <v>108</v>
      </c>
      <c r="B45" s="7">
        <f>B42+B43+B44-(B40+B41)</f>
        <v>67090.756302521011</v>
      </c>
    </row>
    <row r="47" spans="1:2" ht="21" x14ac:dyDescent="0.5">
      <c r="A47" s="15" t="s">
        <v>109</v>
      </c>
      <c r="B47" s="16"/>
    </row>
    <row r="48" spans="1:2" ht="21" x14ac:dyDescent="0.5">
      <c r="A48" s="24" t="s">
        <v>110</v>
      </c>
      <c r="B48" s="7">
        <f>B32/B13</f>
        <v>24159.663865546219</v>
      </c>
    </row>
    <row r="49" spans="1:4" ht="21" x14ac:dyDescent="0.5">
      <c r="A49" s="24" t="s">
        <v>112</v>
      </c>
      <c r="B49" s="7">
        <f>B32-B48*B4</f>
        <v>96638.655462184892</v>
      </c>
    </row>
    <row r="50" spans="1:4" ht="21" x14ac:dyDescent="0.5">
      <c r="A50" s="24" t="s">
        <v>113</v>
      </c>
      <c r="B50" s="7">
        <f>B37-B49</f>
        <v>96638.655462184863</v>
      </c>
    </row>
    <row r="51" spans="1:4" ht="21" x14ac:dyDescent="0.5">
      <c r="A51" s="24" t="s">
        <v>114</v>
      </c>
      <c r="B51" s="7">
        <f>B33*B4</f>
        <v>255462.18487394959</v>
      </c>
    </row>
    <row r="52" spans="1:4" ht="21" x14ac:dyDescent="0.5">
      <c r="A52" s="24" t="s">
        <v>115</v>
      </c>
      <c r="B52" s="7">
        <f>(B34+B35+B36)*B4</f>
        <v>194285.71428571432</v>
      </c>
    </row>
    <row r="53" spans="1:4" ht="21" x14ac:dyDescent="0.5">
      <c r="A53" s="24" t="s">
        <v>116</v>
      </c>
      <c r="B53" s="7">
        <f>B51-B52</f>
        <v>61176.470588235272</v>
      </c>
    </row>
    <row r="54" spans="1:4" ht="21" x14ac:dyDescent="0.5">
      <c r="A54" s="24" t="s">
        <v>117</v>
      </c>
      <c r="B54" s="7">
        <f>B48*B4</f>
        <v>193277.31092436975</v>
      </c>
    </row>
    <row r="55" spans="1:4" ht="21" x14ac:dyDescent="0.5">
      <c r="A55" s="24" t="s">
        <v>118</v>
      </c>
      <c r="B55" s="7">
        <f>B53-B54</f>
        <v>-132100.84033613448</v>
      </c>
    </row>
    <row r="56" spans="1:4" ht="21" x14ac:dyDescent="0.5">
      <c r="A56" s="24" t="s">
        <v>119</v>
      </c>
      <c r="B56" s="7">
        <f>B55+B50</f>
        <v>-35462.18487394962</v>
      </c>
    </row>
    <row r="57" spans="1:4" ht="21" x14ac:dyDescent="0.5">
      <c r="A57" s="24" t="s">
        <v>120</v>
      </c>
      <c r="B57" s="7">
        <f>MAX(0,B56*B12)</f>
        <v>0</v>
      </c>
    </row>
    <row r="58" spans="1:4" ht="21" x14ac:dyDescent="0.5">
      <c r="A58" s="24" t="s">
        <v>121</v>
      </c>
      <c r="B58" s="7">
        <f>B56-B57</f>
        <v>-35462.18487394962</v>
      </c>
    </row>
    <row r="60" spans="1:4" ht="21" x14ac:dyDescent="0.5">
      <c r="A60" s="15" t="s">
        <v>122</v>
      </c>
      <c r="B60" s="16"/>
      <c r="C60" s="8" t="s">
        <v>129</v>
      </c>
      <c r="D60" s="8"/>
    </row>
    <row r="61" spans="1:4" ht="21" x14ac:dyDescent="0.5">
      <c r="A61" s="24" t="s">
        <v>123</v>
      </c>
      <c r="B61" s="7">
        <f>B7*B4 + IF(B17=1,0,B11)</f>
        <v>304000</v>
      </c>
    </row>
    <row r="62" spans="1:4" ht="21" x14ac:dyDescent="0.5">
      <c r="A62" s="24" t="s">
        <v>124</v>
      </c>
      <c r="B62" s="7">
        <f>(B8+B9+B10)*B4+B5</f>
        <v>576200</v>
      </c>
    </row>
    <row r="63" spans="1:4" ht="21" x14ac:dyDescent="0.5">
      <c r="A63" s="24" t="s">
        <v>125</v>
      </c>
      <c r="B63" s="7">
        <f>B61-B62</f>
        <v>-272200</v>
      </c>
    </row>
    <row r="64" spans="1:4" ht="21" x14ac:dyDescent="0.5">
      <c r="A64" s="24" t="s">
        <v>126</v>
      </c>
      <c r="B64" s="7">
        <f>B46</f>
        <v>0</v>
      </c>
    </row>
    <row r="65" spans="1:2" ht="21" x14ac:dyDescent="0.5">
      <c r="A65" s="24" t="s">
        <v>127</v>
      </c>
      <c r="B65" s="7">
        <f>B59</f>
        <v>0</v>
      </c>
    </row>
    <row r="66" spans="1:2" ht="21" x14ac:dyDescent="0.5">
      <c r="A66" s="24" t="s">
        <v>128</v>
      </c>
      <c r="B66" s="7">
        <f>B63-B64-B65</f>
        <v>-272200</v>
      </c>
    </row>
  </sheetData>
  <mergeCells count="9">
    <mergeCell ref="A40:B40"/>
    <mergeCell ref="A47:B47"/>
    <mergeCell ref="A60:B60"/>
    <mergeCell ref="A1:C1"/>
    <mergeCell ref="A2:B2"/>
    <mergeCell ref="A3:B3"/>
    <mergeCell ref="D9:U9"/>
    <mergeCell ref="A19:B19"/>
    <mergeCell ref="A31:B3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Yachtinvest Modell</vt:lpstr>
      <vt:lpstr>Beispiel</vt:lpstr>
      <vt:lpstr>English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Klezok</dc:creator>
  <cp:lastModifiedBy>Peter Klezok</cp:lastModifiedBy>
  <dcterms:created xsi:type="dcterms:W3CDTF">2026-01-21T07:49:36Z</dcterms:created>
  <dcterms:modified xsi:type="dcterms:W3CDTF">2026-01-21T10:21:40Z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37e5cc-ed1f-4ad6-a881-35c0f1c6f3d8_Enabled">
    <vt:lpwstr>true</vt:lpwstr>
  </property>
  <property fmtid="{D5CDD505-2E9C-101B-9397-08002B2CF9AE}" pid="3" name="MSIP_Label_4637e5cc-ed1f-4ad6-a881-35c0f1c6f3d8_SetDate">
    <vt:lpwstr>2026-01-21T08:19:18Z</vt:lpwstr>
  </property>
  <property fmtid="{D5CDD505-2E9C-101B-9397-08002B2CF9AE}" pid="4" name="MSIP_Label_4637e5cc-ed1f-4ad6-a881-35c0f1c6f3d8_Method">
    <vt:lpwstr>Standard</vt:lpwstr>
  </property>
  <property fmtid="{D5CDD505-2E9C-101B-9397-08002B2CF9AE}" pid="5" name="MSIP_Label_4637e5cc-ed1f-4ad6-a881-35c0f1c6f3d8_Name">
    <vt:lpwstr>General</vt:lpwstr>
  </property>
  <property fmtid="{D5CDD505-2E9C-101B-9397-08002B2CF9AE}" pid="6" name="MSIP_Label_4637e5cc-ed1f-4ad6-a881-35c0f1c6f3d8_SiteId">
    <vt:lpwstr>e3cf3c98-a978-465f-8254-9d541eeea73c</vt:lpwstr>
  </property>
  <property fmtid="{D5CDD505-2E9C-101B-9397-08002B2CF9AE}" pid="7" name="MSIP_Label_4637e5cc-ed1f-4ad6-a881-35c0f1c6f3d8_ActionId">
    <vt:lpwstr>866c08ff-b05b-4ca9-b14c-5c905d84417f</vt:lpwstr>
  </property>
  <property fmtid="{D5CDD505-2E9C-101B-9397-08002B2CF9AE}" pid="8" name="MSIP_Label_4637e5cc-ed1f-4ad6-a881-35c0f1c6f3d8_ContentBits">
    <vt:lpwstr>2</vt:lpwstr>
  </property>
  <property fmtid="{D5CDD505-2E9C-101B-9397-08002B2CF9AE}" pid="9" name="MSIP_Label_4637e5cc-ed1f-4ad6-a881-35c0f1c6f3d8_Tag">
    <vt:lpwstr>10, 3, 0, 1</vt:lpwstr>
  </property>
</Properties>
</file>